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1AADD120-5E9C-44CA-9209-E66E5F7C212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Table Games" sheetId="2" r:id="rId2"/>
    <sheet name="Video Lottery" sheetId="3" r:id="rId3"/>
  </sheets>
  <definedNames>
    <definedName name="_xlnm.Print_Area" localSheetId="0">Summary!$A$1:$N$17</definedName>
    <definedName name="_xlnm.Print_Area" localSheetId="1">'Table Games'!$A$1:$L$14</definedName>
    <definedName name="_xlnm.Print_Area" localSheetId="2">'Video Lottery'!$A$1:$M$14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H9" i="3"/>
  <c r="L9" i="2"/>
  <c r="K9" i="2"/>
  <c r="J9" i="2"/>
  <c r="G9" i="2"/>
  <c r="G12" i="1"/>
  <c r="C12" i="1"/>
  <c r="B12" i="1"/>
  <c r="C9" i="2"/>
  <c r="C9" i="3"/>
  <c r="C8" i="3"/>
  <c r="G11" i="1"/>
  <c r="C11" i="1"/>
  <c r="B11" i="1"/>
  <c r="C8" i="2"/>
  <c r="C7" i="3"/>
  <c r="C7" i="2"/>
  <c r="G10" i="1"/>
  <c r="C10" i="1"/>
  <c r="B10" i="1"/>
  <c r="C6" i="2"/>
  <c r="D12" i="1" l="1"/>
  <c r="D9" i="2"/>
  <c r="D9" i="3"/>
  <c r="E9" i="3"/>
  <c r="F12" i="1" s="1"/>
  <c r="D11" i="1"/>
  <c r="D8" i="3"/>
  <c r="E8" i="3"/>
  <c r="F11" i="1" s="1"/>
  <c r="D10" i="1"/>
  <c r="D8" i="2"/>
  <c r="E7" i="3"/>
  <c r="F10" i="1" s="1"/>
  <c r="D7" i="3"/>
  <c r="G7" i="3" s="1"/>
  <c r="D7" i="2"/>
  <c r="C6" i="3"/>
  <c r="F9" i="2" l="1"/>
  <c r="H9" i="2" s="1"/>
  <c r="E12" i="1"/>
  <c r="G9" i="3"/>
  <c r="F8" i="2"/>
  <c r="E11" i="1"/>
  <c r="G8" i="3"/>
  <c r="L7" i="3"/>
  <c r="K7" i="3"/>
  <c r="H7" i="3"/>
  <c r="M7" i="3"/>
  <c r="F7" i="2"/>
  <c r="E10" i="1"/>
  <c r="I7" i="3"/>
  <c r="J7" i="3"/>
  <c r="B11" i="3"/>
  <c r="L12" i="1" l="1"/>
  <c r="N12" i="1"/>
  <c r="I12" i="1"/>
  <c r="I9" i="2"/>
  <c r="H12" i="1"/>
  <c r="J9" i="3"/>
  <c r="M12" i="1"/>
  <c r="I9" i="3"/>
  <c r="J12" i="1" s="1"/>
  <c r="L8" i="2"/>
  <c r="J8" i="2"/>
  <c r="K8" i="2"/>
  <c r="M8" i="3"/>
  <c r="K8" i="3"/>
  <c r="H8" i="3"/>
  <c r="L8" i="3"/>
  <c r="H11" i="1"/>
  <c r="G8" i="2"/>
  <c r="I8" i="2"/>
  <c r="H8" i="2"/>
  <c r="I8" i="3"/>
  <c r="J8" i="3"/>
  <c r="G7" i="2"/>
  <c r="K7" i="2"/>
  <c r="J7" i="2"/>
  <c r="L7" i="2"/>
  <c r="N10" i="1" s="1"/>
  <c r="M10" i="1"/>
  <c r="H10" i="1"/>
  <c r="L10" i="1"/>
  <c r="I10" i="1"/>
  <c r="H7" i="2"/>
  <c r="J10" i="1" s="1"/>
  <c r="I7" i="2"/>
  <c r="K10" i="1" s="1"/>
  <c r="D6" i="3"/>
  <c r="K12" i="1" l="1"/>
  <c r="M11" i="1"/>
  <c r="L11" i="1"/>
  <c r="N11" i="1"/>
  <c r="J11" i="1"/>
  <c r="K11" i="1"/>
  <c r="I11" i="1"/>
  <c r="E11" i="2"/>
  <c r="B11" i="2"/>
  <c r="G9" i="1" l="1"/>
  <c r="C9" i="1"/>
  <c r="B9" i="1"/>
  <c r="B14" i="1" s="1"/>
  <c r="E6" i="3"/>
  <c r="G6" i="3" s="1"/>
  <c r="M6" i="3" l="1"/>
  <c r="L6" i="3"/>
  <c r="H6" i="3"/>
  <c r="K6" i="3"/>
  <c r="D9" i="1"/>
  <c r="C11" i="2"/>
  <c r="F9" i="1"/>
  <c r="D6" i="2"/>
  <c r="J6" i="3"/>
  <c r="I6" i="3"/>
  <c r="D11" i="2" l="1"/>
  <c r="F6" i="2"/>
  <c r="E9" i="1"/>
  <c r="L6" i="2" l="1"/>
  <c r="L11" i="2" s="1"/>
  <c r="J6" i="2"/>
  <c r="G6" i="2"/>
  <c r="G11" i="2" s="1"/>
  <c r="K6" i="2"/>
  <c r="J11" i="2"/>
  <c r="K11" i="2"/>
  <c r="H9" i="1"/>
  <c r="F11" i="2"/>
  <c r="I6" i="2"/>
  <c r="H6" i="2"/>
  <c r="N9" i="1" l="1"/>
  <c r="K9" i="1"/>
  <c r="I11" i="2"/>
  <c r="L9" i="1"/>
  <c r="I9" i="1"/>
  <c r="J9" i="1"/>
  <c r="H11" i="2"/>
  <c r="M9" i="1"/>
  <c r="G14" i="1"/>
  <c r="C14" i="1"/>
  <c r="C11" i="3"/>
  <c r="F11" i="3"/>
  <c r="D11" i="3" l="1"/>
  <c r="F14" i="1"/>
  <c r="D14" i="1"/>
  <c r="E11" i="3" l="1"/>
  <c r="E14" i="1"/>
  <c r="M11" i="3" l="1"/>
  <c r="L11" i="3"/>
  <c r="H11" i="3"/>
  <c r="K11" i="3"/>
  <c r="J11" i="3"/>
  <c r="G11" i="3"/>
  <c r="I11" i="3"/>
  <c r="H14" i="1"/>
  <c r="M14" i="1" l="1"/>
  <c r="K14" i="1"/>
  <c r="I14" i="1"/>
  <c r="L14" i="1"/>
  <c r="J14" i="1"/>
  <c r="N14" i="1"/>
</calcChain>
</file>

<file path=xl/sharedStrings.xml><?xml version="1.0" encoding="utf-8"?>
<sst xmlns="http://schemas.openxmlformats.org/spreadsheetml/2006/main" count="59" uniqueCount="29">
  <si>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</si>
  <si>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</si>
  <si>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</si>
  <si>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</si>
  <si>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</si>
  <si>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</si>
  <si>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</si>
  <si>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</si>
  <si>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</si>
  <si>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</si>
  <si>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</si>
  <si>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</si>
  <si>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</si>
  <si>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</si>
  <si>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</si>
  <si>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</si>
  <si>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</si>
  <si>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</si>
  <si>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</si>
  <si>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</si>
  <si>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</si>
  <si>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(221) *</t>
  </si>
  <si>
    <t>FY 2025</t>
  </si>
  <si>
    <t>FISCAL YEAR 2026</t>
  </si>
  <si>
    <t>July 2025</t>
  </si>
  <si>
    <t>August 2025</t>
  </si>
  <si>
    <t>September 2025</t>
  </si>
  <si>
    <t>FOR THE MONTH ENDING OCTOBER 31, 2025</t>
  </si>
  <si>
    <t>October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</si>
</sst>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"/>
  <sheetViews>
    <sheetView tabSelected="1" workbookViewId="0">
      <selection activeCell="A14" sqref="A14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27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24</v>
      </c>
      <c r="B9" s="5">
        <f>'Table Games'!B6</f>
        <v>384463.75</v>
      </c>
      <c r="C9" s="5">
        <f>'Video Lottery'!B6</f>
        <v>191312.05000000005</v>
      </c>
      <c r="D9" s="5">
        <f>'Table Games'!C6+'Video Lottery'!C6</f>
        <v>184211.49</v>
      </c>
      <c r="E9" s="5">
        <f>'Table Games'!D6+'Video Lottery'!D6</f>
        <v>27631.72</v>
      </c>
      <c r="F9" s="5">
        <f>'Video Lottery'!E6</f>
        <v>1721.81</v>
      </c>
      <c r="G9" s="5">
        <f>'Table Games'!E6+'Video Lottery'!F6</f>
        <v>3229.6</v>
      </c>
      <c r="H9" s="5">
        <f>'Table Games'!F6+'Video Lottery'!G6</f>
        <v>158087.56</v>
      </c>
      <c r="I9" s="5">
        <f>'Table Games'!G6+'Video Lottery'!H6</f>
        <v>135955.30000000002</v>
      </c>
      <c r="J9" s="5">
        <f>'Table Games'!H6+'Video Lottery'!I6</f>
        <v>6323.5</v>
      </c>
      <c r="K9" s="5">
        <f>'Table Games'!I6+'Video Lottery'!J6</f>
        <v>3952.1899999999996</v>
      </c>
      <c r="L9" s="5">
        <f>'Table Games'!J6+'Video Lottery'!K6</f>
        <v>3952.2</v>
      </c>
      <c r="M9" s="5">
        <f>'Table Games'!K6+'Video Lottery'!L6</f>
        <v>3952.2599999999998</v>
      </c>
      <c r="N9" s="5">
        <f>'Table Games'!L6+'Video Lottery'!M6</f>
        <v>3953.6899999999996</v>
      </c>
    </row>
    <row r="10" spans="1:14" customFormat="1" ht="15" customHeight="1" x14ac:dyDescent="0.25">
      <c r="A10" s="4" t="s">
        <v>25</v>
      </c>
      <c r="B10" s="5">
        <f>'Table Games'!B7</f>
        <v>245511.5</v>
      </c>
      <c r="C10" s="5">
        <f>'Video Lottery'!B7</f>
        <v>380360.6</v>
      </c>
      <c r="D10" s="5">
        <f>'Table Games'!C7+'Video Lottery'!C7</f>
        <v>210583.27000000002</v>
      </c>
      <c r="E10" s="5">
        <f>'Table Games'!D7+'Video Lottery'!D7</f>
        <v>31587.49</v>
      </c>
      <c r="F10" s="5">
        <f>'Video Lottery'!E7</f>
        <v>3423.25</v>
      </c>
      <c r="G10" s="5">
        <f>'Table Games'!E7+'Video Lottery'!F7</f>
        <v>3172.13</v>
      </c>
      <c r="H10" s="5">
        <f>'Table Games'!F7+'Video Lottery'!G7</f>
        <v>178744.66000000003</v>
      </c>
      <c r="I10" s="5">
        <f>'Table Games'!G7+'Video Lottery'!H7</f>
        <v>153720.38999999998</v>
      </c>
      <c r="J10" s="5">
        <f>'Table Games'!H7+'Video Lottery'!I7</f>
        <v>7149.79</v>
      </c>
      <c r="K10" s="5">
        <f>'Table Games'!I7+'Video Lottery'!J7</f>
        <v>4468.62</v>
      </c>
      <c r="L10" s="5">
        <f>'Table Games'!J7+'Video Lottery'!K7</f>
        <v>4468.66</v>
      </c>
      <c r="M10" s="5">
        <f>'Table Games'!K7+'Video Lottery'!L7</f>
        <v>4469.04</v>
      </c>
      <c r="N10" s="5">
        <f>'Table Games'!L7+'Video Lottery'!M7</f>
        <v>4468.62</v>
      </c>
    </row>
    <row r="11" spans="1:14" customFormat="1" ht="15" customHeight="1" x14ac:dyDescent="0.25">
      <c r="A11" s="4" t="s">
        <v>26</v>
      </c>
      <c r="B11" s="5">
        <f>'Table Games'!B8</f>
        <v>419235</v>
      </c>
      <c r="C11" s="5">
        <f>'Video Lottery'!B8</f>
        <v>143299.09</v>
      </c>
      <c r="D11" s="5">
        <f>'Table Games'!C8+'Video Lottery'!C8</f>
        <v>177358.14</v>
      </c>
      <c r="E11" s="5">
        <f>'Table Games'!D8+'Video Lottery'!D8</f>
        <v>26603.730000000003</v>
      </c>
      <c r="F11" s="5">
        <f>'Video Lottery'!E8</f>
        <v>1289.69</v>
      </c>
      <c r="G11" s="5">
        <f>'Table Games'!E8+'Video Lottery'!F8</f>
        <v>2707.79</v>
      </c>
      <c r="H11" s="5">
        <f>'Table Games'!F8+'Video Lottery'!G8</f>
        <v>152172.50999999998</v>
      </c>
      <c r="I11" s="5">
        <f>'Table Games'!G8+'Video Lottery'!H8</f>
        <v>130868.37</v>
      </c>
      <c r="J11" s="5">
        <f>'Table Games'!H8+'Video Lottery'!I8</f>
        <v>6086.9000000000005</v>
      </c>
      <c r="K11" s="5">
        <f>'Table Games'!I8+'Video Lottery'!J8</f>
        <v>3804.3099999999995</v>
      </c>
      <c r="L11" s="5">
        <f>'Table Games'!J8+'Video Lottery'!K8</f>
        <v>3804.2899999999995</v>
      </c>
      <c r="M11" s="5">
        <f>'Table Games'!K8+'Video Lottery'!L8</f>
        <v>3804.2999999999993</v>
      </c>
      <c r="N11" s="5">
        <f>'Table Games'!L8+'Video Lottery'!M8</f>
        <v>3803.41</v>
      </c>
    </row>
    <row r="12" spans="1:14" customFormat="1" ht="15" customHeight="1" x14ac:dyDescent="0.25">
      <c r="A12" s="4" t="s">
        <v>28</v>
      </c>
      <c r="B12" s="5">
        <f>'Table Games'!B9</f>
        <v>299767</v>
      </c>
      <c r="C12" s="5">
        <f>'Video Lottery'!B9</f>
        <v>227008.77999999991</v>
      </c>
      <c r="D12" s="5">
        <f>'Table Games'!C9+'Video Lottery'!C9</f>
        <v>171653.26</v>
      </c>
      <c r="E12" s="5">
        <f>'Table Games'!D9+'Video Lottery'!D9</f>
        <v>25747.989999999998</v>
      </c>
      <c r="F12" s="5">
        <f>'Video Lottery'!E9</f>
        <v>2043.08</v>
      </c>
      <c r="G12" s="5">
        <f>'Table Games'!E9+'Video Lottery'!F9</f>
        <v>3044.26</v>
      </c>
      <c r="H12" s="5">
        <f>'Table Games'!F9+'Video Lottery'!G9</f>
        <v>146906.45000000001</v>
      </c>
      <c r="I12" s="5">
        <f>'Table Games'!G9+'Video Lottery'!H9</f>
        <v>126339.55</v>
      </c>
      <c r="J12" s="5">
        <f>'Table Games'!H9+'Video Lottery'!I9</f>
        <v>5876.26</v>
      </c>
      <c r="K12" s="5">
        <f>'Table Games'!I9+'Video Lottery'!J9</f>
        <v>3672.66</v>
      </c>
      <c r="L12" s="5">
        <f>'Table Games'!J9+'Video Lottery'!K9</f>
        <v>3672.62</v>
      </c>
      <c r="M12" s="5">
        <f>'Table Games'!K9+'Video Lottery'!L9</f>
        <v>3672.54</v>
      </c>
      <c r="N12" s="5">
        <f>'Table Games'!L9+'Video Lottery'!M9</f>
        <v>3673.02</v>
      </c>
    </row>
    <row r="13" spans="1:14" customFormat="1" ht="15" customHeight="1" x14ac:dyDescent="0.25"/>
    <row r="14" spans="1:14" customFormat="1" ht="15" customHeight="1" thickBot="1" x14ac:dyDescent="0.3">
      <c r="B14" s="6">
        <f t="shared" ref="B14:N14" si="0">SUM(B9:B13)</f>
        <v>1348977.25</v>
      </c>
      <c r="C14" s="6">
        <f t="shared" si="0"/>
        <v>941980.5199999999</v>
      </c>
      <c r="D14" s="6">
        <f t="shared" si="0"/>
        <v>743806.16</v>
      </c>
      <c r="E14" s="6">
        <f t="shared" si="0"/>
        <v>111570.93</v>
      </c>
      <c r="F14" s="6">
        <f t="shared" si="0"/>
        <v>8477.83</v>
      </c>
      <c r="G14" s="6">
        <f t="shared" si="0"/>
        <v>12153.78</v>
      </c>
      <c r="H14" s="6">
        <f t="shared" si="0"/>
        <v>635911.17999999993</v>
      </c>
      <c r="I14" s="6">
        <f t="shared" si="0"/>
        <v>546883.61</v>
      </c>
      <c r="J14" s="6">
        <f t="shared" si="0"/>
        <v>25436.450000000004</v>
      </c>
      <c r="K14" s="6">
        <f t="shared" si="0"/>
        <v>15897.779999999999</v>
      </c>
      <c r="L14" s="6">
        <f t="shared" si="0"/>
        <v>15897.77</v>
      </c>
      <c r="M14" s="6">
        <f t="shared" si="0"/>
        <v>15898.14</v>
      </c>
      <c r="N14" s="6">
        <f t="shared" si="0"/>
        <v>15898.74</v>
      </c>
    </row>
    <row r="15" spans="1:14" ht="15" customHeight="1" thickTop="1" x14ac:dyDescent="0.2"/>
    <row r="16" spans="1:14" ht="15" customHeight="1" x14ac:dyDescent="0.2">
      <c r="A16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"/>
  <sheetViews>
    <sheetView workbookViewId="0">
      <pane ySplit="3" topLeftCell="A4" activePane="bottomLeft" state="frozen"/>
      <selection pane="bottomLeft" activeCell="A11" sqref="A11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4873397.25</v>
      </c>
      <c r="C2" s="5">
        <v>1462019.2</v>
      </c>
      <c r="D2" s="5">
        <v>219302.88</v>
      </c>
      <c r="E2" s="5">
        <v>26408.89</v>
      </c>
      <c r="F2" s="5">
        <v>1269125.2100000002</v>
      </c>
      <c r="G2" s="5">
        <v>1091447.6499999999</v>
      </c>
      <c r="H2" s="5">
        <v>50765</v>
      </c>
      <c r="I2" s="5">
        <v>31728.14</v>
      </c>
      <c r="J2" s="5">
        <v>31728.119999999995</v>
      </c>
      <c r="K2" s="5">
        <v>31728.13</v>
      </c>
      <c r="L2" s="5">
        <v>31728.18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24</v>
      </c>
      <c r="B6" s="5">
        <v>384463.75</v>
      </c>
      <c r="C6" s="5">
        <f>ROUND($B6*0.3,2)+0.01</f>
        <v>115339.14</v>
      </c>
      <c r="D6" s="5">
        <f t="shared" ref="D6:D9" si="0">ROUND($C6*0.15,2)</f>
        <v>17300.87</v>
      </c>
      <c r="E6" s="5">
        <v>1614.8</v>
      </c>
      <c r="F6" s="5">
        <f t="shared" ref="F6" si="1">C6-D6+E6</f>
        <v>99653.07</v>
      </c>
      <c r="G6" s="5">
        <f>ROUND($F6*0.86,2)-0.01</f>
        <v>85701.63</v>
      </c>
      <c r="H6" s="5">
        <f t="shared" ref="H6:H9" si="2">ROUND($F6*0.04,2)</f>
        <v>3986.12</v>
      </c>
      <c r="I6" s="5">
        <f t="shared" ref="I6:I9" si="3">ROUND($F6*0.025,2)</f>
        <v>2491.33</v>
      </c>
      <c r="J6" s="5">
        <f>ROUND($F6*0.025,2)+0.01</f>
        <v>2491.34</v>
      </c>
      <c r="K6" s="5">
        <f>ROUND($F6*0.025,2)+0.04</f>
        <v>2491.37</v>
      </c>
      <c r="L6" s="5">
        <f>ROUND($F6*0.025,2)+0.75</f>
        <v>2492.08</v>
      </c>
    </row>
    <row r="7" spans="1:12" x14ac:dyDescent="0.25">
      <c r="A7" s="8" t="s">
        <v>25</v>
      </c>
      <c r="B7" s="5">
        <v>245511.5</v>
      </c>
      <c r="C7" s="5">
        <f>ROUND($B7*0.3,2)-0.01</f>
        <v>73653.440000000002</v>
      </c>
      <c r="D7" s="5">
        <f t="shared" si="0"/>
        <v>11048.02</v>
      </c>
      <c r="E7" s="5">
        <v>1586.06</v>
      </c>
      <c r="F7" s="5">
        <f t="shared" ref="F7" si="4">C7-D7+E7</f>
        <v>64191.479999999996</v>
      </c>
      <c r="G7" s="5">
        <f>ROUND($F7*0.86,2)-0.01</f>
        <v>55204.659999999996</v>
      </c>
      <c r="H7" s="5">
        <f t="shared" si="2"/>
        <v>2567.66</v>
      </c>
      <c r="I7" s="5">
        <f t="shared" si="3"/>
        <v>1604.79</v>
      </c>
      <c r="J7" s="5">
        <f>ROUND($F7*0.025,2)+0.02</f>
        <v>1604.81</v>
      </c>
      <c r="K7" s="5">
        <f>ROUND($F7*0.025,2)+0.21</f>
        <v>1605</v>
      </c>
      <c r="L7" s="5">
        <f>ROUND($F7*0.025,2)</f>
        <v>1604.79</v>
      </c>
    </row>
    <row r="8" spans="1:12" x14ac:dyDescent="0.25">
      <c r="A8" s="8" t="s">
        <v>26</v>
      </c>
      <c r="B8" s="5">
        <v>419235</v>
      </c>
      <c r="C8" s="5">
        <f>ROUND($B8*0.3,2)</f>
        <v>125770.5</v>
      </c>
      <c r="D8" s="5">
        <f t="shared" si="0"/>
        <v>18865.580000000002</v>
      </c>
      <c r="E8" s="5">
        <v>1353.9</v>
      </c>
      <c r="F8" s="5">
        <f t="shared" ref="F8" si="5">C8-D8+E8</f>
        <v>108258.81999999999</v>
      </c>
      <c r="G8" s="5">
        <f>ROUND($F8*0.86,2)</f>
        <v>93102.59</v>
      </c>
      <c r="H8" s="5">
        <f t="shared" si="2"/>
        <v>4330.3500000000004</v>
      </c>
      <c r="I8" s="5">
        <f t="shared" si="3"/>
        <v>2706.47</v>
      </c>
      <c r="J8" s="5">
        <f>ROUND($F8*0.025,2)-0.01</f>
        <v>2706.4599999999996</v>
      </c>
      <c r="K8" s="5">
        <f>ROUND($F8*0.025,2)-0.01</f>
        <v>2706.4599999999996</v>
      </c>
      <c r="L8" s="5">
        <f>ROUND($F8*0.025,2)-0.45</f>
        <v>2706.02</v>
      </c>
    </row>
    <row r="9" spans="1:12" x14ac:dyDescent="0.25">
      <c r="A9" s="8" t="s">
        <v>26</v>
      </c>
      <c r="B9" s="5">
        <v>299767</v>
      </c>
      <c r="C9" s="5">
        <f>ROUND($B9*0.3,2)</f>
        <v>89930.1</v>
      </c>
      <c r="D9" s="5">
        <f t="shared" si="0"/>
        <v>13489.52</v>
      </c>
      <c r="E9" s="5">
        <v>1522.13</v>
      </c>
      <c r="F9" s="5">
        <f t="shared" ref="F9" si="6">C9-D9+E9</f>
        <v>77962.710000000006</v>
      </c>
      <c r="G9" s="5">
        <f>ROUND($F9*0.86,2)-0.01</f>
        <v>67047.92</v>
      </c>
      <c r="H9" s="5">
        <f t="shared" si="2"/>
        <v>3118.51</v>
      </c>
      <c r="I9" s="5">
        <f t="shared" si="3"/>
        <v>1949.07</v>
      </c>
      <c r="J9" s="5">
        <f>ROUND($F9*0.025,2)-0.02</f>
        <v>1949.05</v>
      </c>
      <c r="K9" s="5">
        <f>ROUND($F9*0.025,2)-0.05</f>
        <v>1949.02</v>
      </c>
      <c r="L9" s="5">
        <f>ROUND($F9*0.025,2)+0.18</f>
        <v>1949.25</v>
      </c>
    </row>
    <row r="10" spans="1:12" ht="15" customHeight="1" x14ac:dyDescent="0.25">
      <c r="A10" s="8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15" customHeight="1" thickBot="1" x14ac:dyDescent="0.3">
      <c r="B11" s="6">
        <f t="shared" ref="B11:L11" si="7">SUM(B6:B10)</f>
        <v>1348977.25</v>
      </c>
      <c r="C11" s="6">
        <f t="shared" si="7"/>
        <v>404693.18000000005</v>
      </c>
      <c r="D11" s="6">
        <f t="shared" si="7"/>
        <v>60703.990000000005</v>
      </c>
      <c r="E11" s="6">
        <f t="shared" si="7"/>
        <v>6076.89</v>
      </c>
      <c r="F11" s="6">
        <f t="shared" si="7"/>
        <v>350066.08</v>
      </c>
      <c r="G11" s="6">
        <f t="shared" si="7"/>
        <v>301056.8</v>
      </c>
      <c r="H11" s="6">
        <f t="shared" si="7"/>
        <v>14002.640000000001</v>
      </c>
      <c r="I11" s="6">
        <f t="shared" si="7"/>
        <v>8751.66</v>
      </c>
      <c r="J11" s="6">
        <f t="shared" si="7"/>
        <v>8751.659999999998</v>
      </c>
      <c r="K11" s="6">
        <f t="shared" si="7"/>
        <v>8751.85</v>
      </c>
      <c r="L11" s="6">
        <f t="shared" si="7"/>
        <v>8752.14</v>
      </c>
    </row>
    <row r="12" spans="1:12" ht="15" customHeight="1" thickTop="1" x14ac:dyDescent="0.25"/>
    <row r="13" spans="1:12" ht="15" customHeight="1" x14ac:dyDescent="0.25">
      <c r="A13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"/>
  <sheetViews>
    <sheetView workbookViewId="0">
      <pane ySplit="3" topLeftCell="A4" activePane="bottomLeft" state="frozen"/>
      <selection pane="bottomLeft" activeCell="A11" sqref="A11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2514367.3199999998</v>
      </c>
      <c r="C2" s="5">
        <v>905171.9800000001</v>
      </c>
      <c r="D2" s="5">
        <v>135775.81000000003</v>
      </c>
      <c r="E2" s="5">
        <v>22629.300000000003</v>
      </c>
      <c r="F2" s="5">
        <v>26408.889999999996</v>
      </c>
      <c r="G2" s="5">
        <v>773175.76000000013</v>
      </c>
      <c r="H2" s="5">
        <v>664931.12999999989</v>
      </c>
      <c r="I2" s="5">
        <v>30927.03</v>
      </c>
      <c r="J2" s="5">
        <v>19329.400000000001</v>
      </c>
      <c r="K2" s="5">
        <v>19329.390000000003</v>
      </c>
      <c r="L2" s="5">
        <v>19329.41</v>
      </c>
      <c r="M2" s="5">
        <v>19329.45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24</v>
      </c>
      <c r="B6" s="5">
        <v>191312.05000000005</v>
      </c>
      <c r="C6" s="5">
        <f>ROUND(B6*0.36,2)+0.01</f>
        <v>68872.349999999991</v>
      </c>
      <c r="D6" s="5">
        <f t="shared" ref="D6" si="0">ROUND(C6*0.15,2)</f>
        <v>10330.85</v>
      </c>
      <c r="E6" s="5">
        <f t="shared" ref="E6:E9" si="1">ROUND($C6*0.025,2)</f>
        <v>1721.81</v>
      </c>
      <c r="F6" s="5">
        <v>1614.8</v>
      </c>
      <c r="G6" s="5">
        <f t="shared" ref="G6" si="2">C6-D6-E6+F6</f>
        <v>58434.49</v>
      </c>
      <c r="H6" s="5">
        <f>ROUND($G6*0.86,2)+0.01</f>
        <v>50253.670000000006</v>
      </c>
      <c r="I6" s="5">
        <f t="shared" ref="I6:I9" si="3">ROUND($G6*0.04,2)</f>
        <v>2337.38</v>
      </c>
      <c r="J6" s="5">
        <f t="shared" ref="J6:J9" si="4">ROUND($G6*0.025,2)</f>
        <v>1460.86</v>
      </c>
      <c r="K6" s="5">
        <f>ROUND($G6*0.025,2)</f>
        <v>1460.86</v>
      </c>
      <c r="L6" s="5">
        <f>ROUND($G6*0.025,2)+0.03</f>
        <v>1460.8899999999999</v>
      </c>
      <c r="M6" s="5">
        <f>ROUND($G6*0.025,2)+0.75</f>
        <v>1461.61</v>
      </c>
    </row>
    <row r="7" spans="1:13" ht="15" customHeight="1" x14ac:dyDescent="0.25">
      <c r="A7" s="4" t="s">
        <v>25</v>
      </c>
      <c r="B7" s="5">
        <v>380360.6</v>
      </c>
      <c r="C7" s="5">
        <f>ROUND(B7*0.36,2)+0.01</f>
        <v>136929.83000000002</v>
      </c>
      <c r="D7" s="5">
        <f t="shared" ref="D7" si="5">ROUND(C7*0.15,2)</f>
        <v>20539.47</v>
      </c>
      <c r="E7" s="5">
        <f t="shared" si="1"/>
        <v>3423.25</v>
      </c>
      <c r="F7" s="5">
        <v>1586.07</v>
      </c>
      <c r="G7" s="5">
        <f t="shared" ref="G7" si="6">C7-D7-E7+F7</f>
        <v>114553.18000000002</v>
      </c>
      <c r="H7" s="5">
        <f>ROUND($G7*0.86,2)</f>
        <v>98515.73</v>
      </c>
      <c r="I7" s="5">
        <f t="shared" si="3"/>
        <v>4582.13</v>
      </c>
      <c r="J7" s="5">
        <f t="shared" si="4"/>
        <v>2863.83</v>
      </c>
      <c r="K7" s="5">
        <f>ROUND($G7*0.025,2)+0.02</f>
        <v>2863.85</v>
      </c>
      <c r="L7" s="5">
        <f>ROUND($G7*0.025,2)+0.21</f>
        <v>2864.04</v>
      </c>
      <c r="M7" s="5">
        <f>ROUND($G7*0.025,2)</f>
        <v>2863.83</v>
      </c>
    </row>
    <row r="8" spans="1:13" ht="15" customHeight="1" x14ac:dyDescent="0.25">
      <c r="A8" s="4" t="s">
        <v>26</v>
      </c>
      <c r="B8" s="5">
        <v>143299.09</v>
      </c>
      <c r="C8" s="5">
        <f>ROUND(B8*0.36,2)-0.03</f>
        <v>51587.64</v>
      </c>
      <c r="D8" s="5">
        <f t="shared" ref="D8" si="7">ROUND(C8*0.15,2)</f>
        <v>7738.15</v>
      </c>
      <c r="E8" s="5">
        <f t="shared" si="1"/>
        <v>1289.69</v>
      </c>
      <c r="F8" s="5">
        <v>1353.89</v>
      </c>
      <c r="G8" s="5">
        <f t="shared" ref="G8" si="8">C8-D8-E8+F8</f>
        <v>43913.689999999995</v>
      </c>
      <c r="H8" s="5">
        <f>ROUND($G8*0.86,2)+0.01</f>
        <v>37765.78</v>
      </c>
      <c r="I8" s="5">
        <f t="shared" si="3"/>
        <v>1756.55</v>
      </c>
      <c r="J8" s="5">
        <f t="shared" si="4"/>
        <v>1097.8399999999999</v>
      </c>
      <c r="K8" s="5">
        <f>ROUND($G8*0.025,2)-0.01</f>
        <v>1097.83</v>
      </c>
      <c r="L8" s="5">
        <f>ROUND($G8*0.025,2)</f>
        <v>1097.8399999999999</v>
      </c>
      <c r="M8" s="5">
        <f>ROUND($G8*0.025,2)-0.45</f>
        <v>1097.3899999999999</v>
      </c>
    </row>
    <row r="9" spans="1:13" ht="15" customHeight="1" x14ac:dyDescent="0.25">
      <c r="A9" s="4" t="s">
        <v>28</v>
      </c>
      <c r="B9" s="5">
        <v>227008.77999999991</v>
      </c>
      <c r="C9" s="5">
        <f>ROUND(B9*0.36,2)</f>
        <v>81723.16</v>
      </c>
      <c r="D9" s="5">
        <f t="shared" ref="D9" si="9">ROUND(C9*0.15,2)</f>
        <v>12258.47</v>
      </c>
      <c r="E9" s="5">
        <f t="shared" si="1"/>
        <v>2043.08</v>
      </c>
      <c r="F9" s="5">
        <v>1522.13</v>
      </c>
      <c r="G9" s="5">
        <f t="shared" ref="G9" si="10">C9-D9-E9+F9</f>
        <v>68943.740000000005</v>
      </c>
      <c r="H9" s="5">
        <f>ROUND($G9*0.86,2)+0.01</f>
        <v>59291.630000000005</v>
      </c>
      <c r="I9" s="5">
        <f t="shared" si="3"/>
        <v>2757.75</v>
      </c>
      <c r="J9" s="5">
        <f t="shared" si="4"/>
        <v>1723.59</v>
      </c>
      <c r="K9" s="5">
        <f>ROUND($G9*0.025,2)-0.02</f>
        <v>1723.57</v>
      </c>
      <c r="L9" s="5">
        <f>ROUND($G9*0.025,2)-0.07</f>
        <v>1723.52</v>
      </c>
      <c r="M9" s="5">
        <f>ROUND($G9*0.025,2)+0.18</f>
        <v>1723.77</v>
      </c>
    </row>
    <row r="11" spans="1:13" ht="15" customHeight="1" thickBot="1" x14ac:dyDescent="0.3">
      <c r="B11" s="6">
        <f t="shared" ref="B11:M11" si="11">SUM(B6:B10)</f>
        <v>941980.5199999999</v>
      </c>
      <c r="C11" s="6">
        <f t="shared" si="11"/>
        <v>339112.98</v>
      </c>
      <c r="D11" s="6">
        <f t="shared" si="11"/>
        <v>50866.94</v>
      </c>
      <c r="E11" s="6">
        <f t="shared" si="11"/>
        <v>8477.83</v>
      </c>
      <c r="F11" s="6">
        <f t="shared" si="11"/>
        <v>6076.89</v>
      </c>
      <c r="G11" s="6">
        <f t="shared" si="11"/>
        <v>285845.10000000003</v>
      </c>
      <c r="H11" s="6">
        <f t="shared" si="11"/>
        <v>245826.81</v>
      </c>
      <c r="I11" s="6">
        <f t="shared" si="11"/>
        <v>11433.81</v>
      </c>
      <c r="J11" s="6">
        <f t="shared" si="11"/>
        <v>7146.12</v>
      </c>
      <c r="K11" s="6">
        <f t="shared" si="11"/>
        <v>7146.11</v>
      </c>
      <c r="L11" s="6">
        <f t="shared" si="11"/>
        <v>7146.2900000000009</v>
      </c>
      <c r="M11" s="6">
        <f t="shared" si="11"/>
        <v>7146.6</v>
      </c>
    </row>
    <row r="12" spans="1:13" ht="15" customHeight="1" thickTop="1" x14ac:dyDescent="0.25"/>
    <row r="13" spans="1:13" ht="15" customHeight="1" x14ac:dyDescent="0.25">
      <c r="A13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Table Games</vt:lpstr>
      <vt:lpstr>Video Lottery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2024-05-13T19:05:34Z</cp:lastPrinted>
  <dcterms:created xsi:type="dcterms:W3CDTF">2017-06-09T17:49:43Z</dcterms:created>
  <dcterms:modified xsi:type="dcterms:W3CDTF">2025-11-06T15:28:19Z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